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 статьям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<sst xmlns="http://schemas.openxmlformats.org/spreadsheetml/2006/main" count="34" uniqueCount="34">
  <si>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ОТЧЕТ</t>
  </si>
  <si>
    <t xml:space="preserve">о результатах работы административных комиссий Алтайского края </t>
  </si>
  <si>
    <t xml:space="preserve">За 12 месяцев 2023 года </t>
  </si>
  <si>
    <t xml:space="preserve">Статья закона Алтайского края от 10 июля 2002 года № 46-ЗС</t>
  </si>
  <si>
    <t xml:space="preserve">Поступило протоколов</t>
  </si>
  <si>
    <t xml:space="preserve">Возвращено протоколов на доработку</t>
  </si>
  <si>
    <t xml:space="preserve">Направлено по подведомственности</t>
  </si>
  <si>
    <t xml:space="preserve">Рассмотрено за 12 месяцев 2023 г.</t>
  </si>
  <si>
    <t xml:space="preserve">Рассмотрено за 12 месяцев 2022 г.</t>
  </si>
  <si>
    <t xml:space="preserve">% (+-)</t>
  </si>
  <si>
    <t xml:space="preserve">Принято решений</t>
  </si>
  <si>
    <t xml:space="preserve">Сумма штрафа,  (руб.)</t>
  </si>
  <si>
    <t xml:space="preserve">% взыскания штрафов</t>
  </si>
  <si>
    <t xml:space="preserve">Обжаловано решений административных комиссий </t>
  </si>
  <si>
    <t xml:space="preserve">Отменено решений             административных комиссий</t>
  </si>
  <si>
    <t xml:space="preserve">Количество постановлений направленных в ФССП</t>
  </si>
  <si>
    <t xml:space="preserve">На сумму</t>
  </si>
  <si>
    <t xml:space="preserve">Всего</t>
  </si>
  <si>
    <t xml:space="preserve">прекращено</t>
  </si>
  <si>
    <t xml:space="preserve">вынесено предупреждений</t>
  </si>
  <si>
    <t xml:space="preserve">наложен административный штраф</t>
  </si>
  <si>
    <t xml:space="preserve">наложено</t>
  </si>
  <si>
    <t xml:space="preserve">взыскано</t>
  </si>
  <si>
    <t xml:space="preserve">всего</t>
  </si>
  <si>
    <t xml:space="preserve">из них,                                                             по малозначительности</t>
  </si>
  <si>
    <t xml:space="preserve">36-1</t>
  </si>
  <si>
    <t xml:space="preserve">40-2</t>
  </si>
  <si>
    <t xml:space="preserve">40-3</t>
  </si>
  <si>
    <t xml:space="preserve">49-4</t>
  </si>
  <si>
    <t xml:space="preserve">61-1</t>
  </si>
  <si>
    <t xml:space="preserve">61-3</t>
  </si>
  <si>
    <t xml:space="preserve">68-2</t>
  </si>
  <si>
    <t xml:space="preserve">70-1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</si>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</sst>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9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b val="true"/>
      <sz val="10"/>
      <color rgb="FF000000"/>
      <name val="PT Astra Serif"/>
      <family val="1"/>
      <charset val="1"/>
    </font>
    <font>
      <sz val="9"/>
      <color rgb="FF000000"/>
      <name val="PT Astra Serif"/>
      <family val="1"/>
      <charset val="1"/>
    </font>
    <font>
      <sz val="8"/>
      <color rgb="FF000000"/>
      <name val="PT Astra Serif"/>
      <family val="1"/>
      <charset val="1"/>
    </font>
    <font>
      <b val="true"/>
      <sz val="11"/>
      <name val="PT Astra Serif"/>
      <family val="1"/>
      <charset val="1"/>
    </font>
    <font>
      <b val="true"/>
      <sz val="11"/>
      <color rgb="FF000000"/>
      <name val="PT Astra Serif"/>
      <family val="1"/>
      <charset val="1"/>
    </font>
    <font>
      <sz val="11"/>
      <name val="PT Astra Serif"/>
      <family val="1"/>
      <charset val="1"/>
    </font>
    <font>
      <b val="true"/>
      <u val="singl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2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U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20" activeCellId="0" sqref="N20"/>
    </sheetView>
  </sheetViews>
  <sheetFormatPr defaultColWidth="8.75" defaultRowHeight="14.25" zeroHeight="false" outlineLevelRow="0" outlineLevelCol="0"/>
  <cols>
    <col collapsed="false" customWidth="true" hidden="false" outlineLevel="0" max="1" min="1" style="1" width="11.44"/>
    <col collapsed="false" customWidth="true" hidden="false" outlineLevel="0" max="2" min="2" style="1" width="10"/>
    <col collapsed="false" customWidth="true" hidden="false" outlineLevel="0" max="3" min="3" style="1" width="6.56"/>
    <col collapsed="false" customWidth="true" hidden="false" outlineLevel="0" max="4" min="4" style="1" width="7.67"/>
    <col collapsed="false" customWidth="true" hidden="false" outlineLevel="0" max="5" min="5" style="1" width="6.42"/>
    <col collapsed="false" customWidth="true" hidden="false" outlineLevel="0" max="7" min="7" style="1" width="8"/>
    <col collapsed="false" customWidth="true" hidden="false" outlineLevel="0" max="8" min="8" style="1" width="7.56"/>
    <col collapsed="false" customWidth="true" hidden="false" outlineLevel="0" max="9" min="9" style="1" width="8.87"/>
    <col collapsed="false" customWidth="true" hidden="false" outlineLevel="0" max="10" min="10" style="1" width="8"/>
    <col collapsed="false" customWidth="true" hidden="false" outlineLevel="0" max="12" min="11" style="1" width="7.34"/>
    <col collapsed="false" customWidth="true" hidden="false" outlineLevel="0" max="13" min="13" style="1" width="7.67"/>
    <col collapsed="false" customWidth="true" hidden="false" outlineLevel="0" max="14" min="14" style="1" width="8.34"/>
    <col collapsed="false" customWidth="true" hidden="false" outlineLevel="0" max="16" min="16" style="1" width="10.42"/>
    <col collapsed="false" customWidth="true" hidden="false" outlineLevel="0" max="17" min="17" style="1" width="13.67"/>
    <col collapsed="false" customWidth="true" hidden="false" outlineLevel="0" max="18" min="18" style="1" width="7.56"/>
    <col collapsed="false" customWidth="true" hidden="false" outlineLevel="0" max="19" min="19" style="1" width="8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</row>
    <row r="3" customFormat="false" ht="17.25" hidden="false" customHeight="true" outlineLevel="0" collapsed="false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</row>
    <row r="4" customFormat="false" ht="15" hidden="false" customHeight="true" outlineLevel="0" collapsed="false">
      <c r="A4" s="4" t="s">
        <v>3</v>
      </c>
      <c r="B4" s="5" t="s">
        <v>4</v>
      </c>
      <c r="C4" s="5"/>
      <c r="D4" s="5"/>
      <c r="E4" s="5"/>
      <c r="F4" s="6" t="s">
        <v>5</v>
      </c>
      <c r="G4" s="7" t="s">
        <v>6</v>
      </c>
      <c r="H4" s="8" t="s">
        <v>7</v>
      </c>
      <c r="I4" s="9" t="s">
        <v>8</v>
      </c>
      <c r="J4" s="9" t="s">
        <v>9</v>
      </c>
      <c r="K4" s="10" t="s">
        <v>10</v>
      </c>
      <c r="L4" s="10"/>
      <c r="M4" s="10"/>
      <c r="N4" s="10"/>
      <c r="O4" s="5" t="s">
        <v>11</v>
      </c>
      <c r="P4" s="5"/>
      <c r="Q4" s="9" t="s">
        <v>12</v>
      </c>
      <c r="R4" s="6" t="s">
        <v>13</v>
      </c>
      <c r="S4" s="11" t="s">
        <v>14</v>
      </c>
      <c r="T4" s="12" t="s">
        <v>15</v>
      </c>
      <c r="U4" s="12" t="s">
        <v>16</v>
      </c>
    </row>
    <row r="5" customFormat="false" ht="15" hidden="false" customHeight="true" outlineLevel="0" collapsed="false">
      <c r="A5" s="4"/>
      <c r="B5" s="13" t="s">
        <v>17</v>
      </c>
      <c r="C5" s="14"/>
      <c r="D5" s="14"/>
      <c r="E5" s="14"/>
      <c r="F5" s="6"/>
      <c r="G5" s="7"/>
      <c r="H5" s="8"/>
      <c r="I5" s="9"/>
      <c r="J5" s="9"/>
      <c r="K5" s="15" t="s">
        <v>18</v>
      </c>
      <c r="L5" s="15"/>
      <c r="M5" s="13" t="s">
        <v>19</v>
      </c>
      <c r="N5" s="16" t="s">
        <v>20</v>
      </c>
      <c r="O5" s="13" t="s">
        <v>21</v>
      </c>
      <c r="P5" s="13" t="s">
        <v>22</v>
      </c>
      <c r="Q5" s="9"/>
      <c r="R5" s="6"/>
      <c r="S5" s="11"/>
      <c r="T5" s="12"/>
      <c r="U5" s="12"/>
    </row>
    <row r="6" customFormat="false" ht="129" hidden="false" customHeight="true" outlineLevel="0" collapsed="false">
      <c r="A6" s="4"/>
      <c r="B6" s="13"/>
      <c r="C6" s="17"/>
      <c r="D6" s="18"/>
      <c r="E6" s="19"/>
      <c r="F6" s="6"/>
      <c r="G6" s="7"/>
      <c r="H6" s="8"/>
      <c r="I6" s="9"/>
      <c r="J6" s="9"/>
      <c r="K6" s="20" t="s">
        <v>23</v>
      </c>
      <c r="L6" s="21" t="s">
        <v>24</v>
      </c>
      <c r="M6" s="13"/>
      <c r="N6" s="16"/>
      <c r="O6" s="13"/>
      <c r="P6" s="13"/>
      <c r="Q6" s="13"/>
      <c r="R6" s="6"/>
      <c r="S6" s="11"/>
      <c r="T6" s="12"/>
      <c r="U6" s="12"/>
    </row>
    <row r="7" customFormat="false" ht="13.8" hidden="false" customHeight="false" outlineLevel="0" collapsed="false">
      <c r="A7" s="22" t="n">
        <v>1</v>
      </c>
      <c r="B7" s="23" t="n">
        <v>2</v>
      </c>
      <c r="C7" s="22" t="n">
        <v>3</v>
      </c>
      <c r="D7" s="22" t="n">
        <v>4</v>
      </c>
      <c r="E7" s="22" t="n">
        <v>5</v>
      </c>
      <c r="F7" s="22" t="n">
        <v>6</v>
      </c>
      <c r="G7" s="22" t="n">
        <v>7</v>
      </c>
      <c r="H7" s="22" t="n">
        <v>8</v>
      </c>
      <c r="I7" s="22" t="n">
        <v>9</v>
      </c>
      <c r="J7" s="24" t="n">
        <v>10</v>
      </c>
      <c r="K7" s="22" t="n">
        <v>11</v>
      </c>
      <c r="L7" s="22" t="n">
        <v>12</v>
      </c>
      <c r="M7" s="22" t="n">
        <v>13</v>
      </c>
      <c r="N7" s="22" t="n">
        <v>14</v>
      </c>
      <c r="O7" s="22" t="n">
        <v>15</v>
      </c>
      <c r="P7" s="22" t="n">
        <v>16</v>
      </c>
      <c r="Q7" s="22" t="n">
        <v>17</v>
      </c>
      <c r="R7" s="23" t="n">
        <v>18</v>
      </c>
      <c r="S7" s="25" t="n">
        <v>19</v>
      </c>
      <c r="T7" s="26" t="n">
        <v>20</v>
      </c>
      <c r="U7" s="26" t="n">
        <v>21</v>
      </c>
    </row>
    <row r="8" customFormat="false" ht="13.8" hidden="false" customHeight="false" outlineLevel="0" collapsed="false">
      <c r="A8" s="27" t="n">
        <v>27</v>
      </c>
      <c r="B8" s="28" t="n">
        <f aca="false">'[2]ст.27'!b82</f>
        <v>2008</v>
      </c>
      <c r="C8" s="28" t="n">
        <f aca="false">'[2]ст.27'!c82</f>
        <v>0</v>
      </c>
      <c r="D8" s="28" t="n">
        <f aca="false">'[2]ст.27'!d82</f>
        <v>0</v>
      </c>
      <c r="E8" s="28" t="n">
        <f aca="false">'[2]ст.27'!e82</f>
        <v>0</v>
      </c>
      <c r="F8" s="28" t="n">
        <f aca="false">'[2]ст.27'!f82</f>
        <v>3</v>
      </c>
      <c r="G8" s="28" t="n">
        <f aca="false">'[2]ст.27'!g82</f>
        <v>2</v>
      </c>
      <c r="H8" s="29" t="n">
        <f aca="false">'[2]ст.27'!h82</f>
        <v>1996</v>
      </c>
      <c r="I8" s="30" t="n">
        <v>3675</v>
      </c>
      <c r="J8" s="31" t="n">
        <f aca="false">H8*100/I8-100</f>
        <v>-45.687074829932</v>
      </c>
      <c r="K8" s="28" t="n">
        <f aca="false">'[2]ст.27'!i82</f>
        <v>182</v>
      </c>
      <c r="L8" s="28" t="n">
        <f aca="false">'[2]ст.27'!j82</f>
        <v>34</v>
      </c>
      <c r="M8" s="28" t="n">
        <f aca="false">'[2]ст.27'!k82</f>
        <v>1043</v>
      </c>
      <c r="N8" s="28" t="n">
        <f aca="false">'[2]ст.27'!l82</f>
        <v>769</v>
      </c>
      <c r="O8" s="28" t="n">
        <f aca="false">'[2]ст.27'!m82</f>
        <v>909200</v>
      </c>
      <c r="P8" s="28" t="n">
        <f aca="false">'[2]ст.27'!n82</f>
        <v>713537.61</v>
      </c>
      <c r="Q8" s="31" t="n">
        <f aca="false">'[2]ст.27'!o82</f>
        <v>78.479719533656</v>
      </c>
      <c r="R8" s="28" t="n">
        <f aca="false">'[2]ст.27'!p82</f>
        <v>46</v>
      </c>
      <c r="S8" s="28" t="n">
        <f aca="false">'[2]ст.27'!q82</f>
        <v>18</v>
      </c>
      <c r="T8" s="28" t="n">
        <f aca="false">'[2]ст.27'!r82</f>
        <v>399</v>
      </c>
      <c r="U8" s="28" t="n">
        <f aca="false">'[2]ст.27'!s82</f>
        <v>507400</v>
      </c>
    </row>
    <row r="9" customFormat="false" ht="13.8" hidden="false" customHeight="false" outlineLevel="0" collapsed="false">
      <c r="A9" s="32" t="s">
        <v>25</v>
      </c>
      <c r="B9" s="33" t="n">
        <f aca="false">'[2]ст.36-1'!b39</f>
        <v>16</v>
      </c>
      <c r="C9" s="33" t="n">
        <f aca="false">'[2]ст.36-1'!c39</f>
        <v>0</v>
      </c>
      <c r="D9" s="33" t="n">
        <f aca="false">'[2]ст.36-1'!d39</f>
        <v>0</v>
      </c>
      <c r="E9" s="33" t="n">
        <f aca="false">'[2]ст.36-1'!e39</f>
        <v>0</v>
      </c>
      <c r="F9" s="33" t="n">
        <f aca="false">'[2]ст.36-1'!f39</f>
        <v>0</v>
      </c>
      <c r="G9" s="33" t="n">
        <f aca="false">'[2]ст.36-1'!g39</f>
        <v>0</v>
      </c>
      <c r="H9" s="34" t="n">
        <f aca="false">'[2]ст.36-1'!h39</f>
        <v>16</v>
      </c>
      <c r="I9" s="30" t="n">
        <v>18</v>
      </c>
      <c r="J9" s="35" t="n">
        <f aca="false">H9*100/I9-100</f>
        <v>-11.1111111111111</v>
      </c>
      <c r="K9" s="33" t="n">
        <f aca="false">'[2]ст.36-1'!i39</f>
        <v>0</v>
      </c>
      <c r="L9" s="33" t="n">
        <f aca="false">'[2]ст.36-1'!j39</f>
        <v>0</v>
      </c>
      <c r="M9" s="33" t="n">
        <f aca="false">'[2]ст.36-1'!k39</f>
        <v>9</v>
      </c>
      <c r="N9" s="33" t="n">
        <f aca="false">'[2]ст.36-1'!l39</f>
        <v>7</v>
      </c>
      <c r="O9" s="33" t="n">
        <f aca="false">'[2]ст.36-1'!m39</f>
        <v>4000</v>
      </c>
      <c r="P9" s="33" t="n">
        <f aca="false">'[2]ст.36-1'!n39</f>
        <v>2000</v>
      </c>
      <c r="Q9" s="35" t="n">
        <f aca="false">'[2]ст.36-1'!o39</f>
        <v>50</v>
      </c>
      <c r="R9" s="33" t="n">
        <f aca="false">'[2]ст.36-1'!p39</f>
        <v>0</v>
      </c>
      <c r="S9" s="33" t="n">
        <f aca="false">'[2]ст.36-1'!q39</f>
        <v>0</v>
      </c>
      <c r="T9" s="33" t="n">
        <f aca="false">'[2]ст.36-1'!r39</f>
        <v>3</v>
      </c>
      <c r="U9" s="33" t="n">
        <f aca="false">'[2]ст.36-1'!s39</f>
        <v>2000</v>
      </c>
    </row>
    <row r="10" customFormat="false" ht="13.8" hidden="false" customHeight="false" outlineLevel="0" collapsed="false">
      <c r="A10" s="32" t="s">
        <v>26</v>
      </c>
      <c r="B10" s="33" t="n">
        <f aca="false">'[2]ст.40-2'!b37</f>
        <v>1</v>
      </c>
      <c r="C10" s="33" t="n">
        <f aca="false">'[2]ст.40-2'!c37</f>
        <v>0</v>
      </c>
      <c r="D10" s="33" t="n">
        <f aca="false">'[2]ст.40-2'!d37</f>
        <v>0</v>
      </c>
      <c r="E10" s="33" t="n">
        <f aca="false">'[2]ст.40-2'!e37</f>
        <v>0</v>
      </c>
      <c r="F10" s="33" t="n">
        <f aca="false">'[2]ст.40-2'!f37</f>
        <v>0</v>
      </c>
      <c r="G10" s="33" t="n">
        <f aca="false">'[2]ст.40-2'!g37</f>
        <v>0</v>
      </c>
      <c r="H10" s="34" t="n">
        <f aca="false">'[2]ст.40-2'!h37</f>
        <v>1</v>
      </c>
      <c r="I10" s="30" t="n">
        <v>6</v>
      </c>
      <c r="J10" s="35" t="n">
        <f aca="false">H10*100/I10-100</f>
        <v>-83.3333333333333</v>
      </c>
      <c r="K10" s="33" t="n">
        <f aca="false">'[2]ст.40-2'!i37</f>
        <v>1</v>
      </c>
      <c r="L10" s="33" t="n">
        <f aca="false">'[2]ст.40-2'!j37</f>
        <v>0</v>
      </c>
      <c r="M10" s="33" t="n">
        <f aca="false">'[2]ст.40-2'!k37</f>
        <v>0</v>
      </c>
      <c r="N10" s="33" t="n">
        <f aca="false">'[2]ст.40-2'!l37</f>
        <v>0</v>
      </c>
      <c r="O10" s="33" t="n">
        <f aca="false">'[2]ст.40-2'!m37</f>
        <v>0</v>
      </c>
      <c r="P10" s="33" t="n">
        <f aca="false">'[2]ст.40-2'!n37</f>
        <v>0</v>
      </c>
      <c r="Q10" s="36" t="n">
        <v>0</v>
      </c>
      <c r="R10" s="33" t="n">
        <f aca="false">'[2]ст.40-2'!p37</f>
        <v>0</v>
      </c>
      <c r="S10" s="33" t="n">
        <f aca="false">'[2]ст.40-2'!q37</f>
        <v>0</v>
      </c>
      <c r="T10" s="33" t="n">
        <f aca="false">'[2]ст.40-2'!r37</f>
        <v>0</v>
      </c>
      <c r="U10" s="33" t="n">
        <f aca="false">'[2]ст.40-2'!s37</f>
        <v>0</v>
      </c>
    </row>
    <row r="11" customFormat="false" ht="13.8" hidden="false" customHeight="false" outlineLevel="0" collapsed="false">
      <c r="A11" s="32" t="s">
        <v>27</v>
      </c>
      <c r="B11" s="33" t="n">
        <f aca="false">'[2]ст.40-3'!b22</f>
        <v>174</v>
      </c>
      <c r="C11" s="33" t="n">
        <f aca="false">'[2]ст.40-3'!c22</f>
        <v>0</v>
      </c>
      <c r="D11" s="33" t="n">
        <f aca="false">'[2]ст.40-3'!d22</f>
        <v>0</v>
      </c>
      <c r="E11" s="33" t="n">
        <f aca="false">'[2]ст.40-3'!e22</f>
        <v>0</v>
      </c>
      <c r="F11" s="33" t="n">
        <f aca="false">'[2]ст.40-3'!f22</f>
        <v>0</v>
      </c>
      <c r="G11" s="33" t="n">
        <f aca="false">'[2]ст.40-3'!g22</f>
        <v>0</v>
      </c>
      <c r="H11" s="34" t="n">
        <f aca="false">'[2]ст.40-3'!h22</f>
        <v>174</v>
      </c>
      <c r="I11" s="30" t="n">
        <v>79</v>
      </c>
      <c r="J11" s="35" t="n">
        <f aca="false">H11*100/I11-100</f>
        <v>120.253164556962</v>
      </c>
      <c r="K11" s="33" t="n">
        <f aca="false">'[2]ст.40-3'!i22</f>
        <v>25</v>
      </c>
      <c r="L11" s="33" t="n">
        <f aca="false">'[2]ст.40-3'!j22</f>
        <v>1</v>
      </c>
      <c r="M11" s="33" t="n">
        <f aca="false">'[2]ст.40-3'!k22</f>
        <v>0</v>
      </c>
      <c r="N11" s="33" t="n">
        <f aca="false">'[2]ст.40-3'!l22</f>
        <v>149</v>
      </c>
      <c r="O11" s="33" t="n">
        <f aca="false">'[2]ст.40-3'!m22</f>
        <v>100000</v>
      </c>
      <c r="P11" s="33" t="n">
        <f aca="false">'[2]ст.40-3'!n22</f>
        <v>113113.86</v>
      </c>
      <c r="Q11" s="35" t="n">
        <f aca="false">'[2]ст.40-3'!o22</f>
        <v>113.11386</v>
      </c>
      <c r="R11" s="33" t="n">
        <f aca="false">'[2]ст.40-3'!p22</f>
        <v>1</v>
      </c>
      <c r="S11" s="33" t="n">
        <f aca="false">'[2]ст.40-3'!q22</f>
        <v>1</v>
      </c>
      <c r="T11" s="33" t="n">
        <f aca="false">'[2]ст.40-3'!r22</f>
        <v>62</v>
      </c>
      <c r="U11" s="33" t="n">
        <f aca="false">'[2]ст.40-3'!s22</f>
        <v>37500</v>
      </c>
    </row>
    <row r="12" customFormat="false" ht="13.5" hidden="false" customHeight="true" outlineLevel="0" collapsed="false">
      <c r="A12" s="32" t="n">
        <v>46</v>
      </c>
      <c r="B12" s="37" t="n">
        <v>0</v>
      </c>
      <c r="C12" s="37" t="n">
        <v>0</v>
      </c>
      <c r="D12" s="37" t="n">
        <v>0</v>
      </c>
      <c r="E12" s="37" t="n">
        <v>0</v>
      </c>
      <c r="F12" s="37" t="n">
        <v>0</v>
      </c>
      <c r="G12" s="37" t="n">
        <v>0</v>
      </c>
      <c r="H12" s="38" t="n">
        <v>0</v>
      </c>
      <c r="I12" s="30" t="n">
        <v>0</v>
      </c>
      <c r="J12" s="35" t="n">
        <v>0</v>
      </c>
      <c r="K12" s="37" t="n">
        <v>0</v>
      </c>
      <c r="L12" s="37" t="n">
        <v>0</v>
      </c>
      <c r="M12" s="37" t="n">
        <v>0</v>
      </c>
      <c r="N12" s="37" t="n">
        <v>0</v>
      </c>
      <c r="O12" s="37" t="n">
        <v>0</v>
      </c>
      <c r="P12" s="37" t="n">
        <v>0</v>
      </c>
      <c r="Q12" s="35" t="n">
        <v>0</v>
      </c>
      <c r="R12" s="37" t="n">
        <v>0</v>
      </c>
      <c r="S12" s="39" t="n">
        <v>0</v>
      </c>
      <c r="T12" s="39" t="n">
        <v>0</v>
      </c>
      <c r="U12" s="39" t="n">
        <v>0</v>
      </c>
    </row>
    <row r="13" customFormat="false" ht="13.5" hidden="false" customHeight="true" outlineLevel="0" collapsed="false">
      <c r="A13" s="32" t="s">
        <v>28</v>
      </c>
      <c r="B13" s="37" t="n">
        <f aca="false">'[2]49-4'!b10</f>
        <v>30</v>
      </c>
      <c r="C13" s="37" t="n">
        <f aca="false">'[2]49-4'!c10</f>
        <v>0</v>
      </c>
      <c r="D13" s="37" t="n">
        <f aca="false">'[2]49-4'!d10</f>
        <v>0</v>
      </c>
      <c r="E13" s="37" t="n">
        <f aca="false">'[2]49-4'!e10</f>
        <v>0</v>
      </c>
      <c r="F13" s="37" t="n">
        <f aca="false">'[2]49-4'!f10</f>
        <v>0</v>
      </c>
      <c r="G13" s="37" t="n">
        <f aca="false">'[2]49-4'!g10</f>
        <v>0</v>
      </c>
      <c r="H13" s="38" t="n">
        <f aca="false">'[2]49-4'!h10</f>
        <v>30</v>
      </c>
      <c r="I13" s="30" t="n">
        <v>59</v>
      </c>
      <c r="J13" s="35" t="n">
        <f aca="false">H13*100/I13-100</f>
        <v>-49.1525423728814</v>
      </c>
      <c r="K13" s="37" t="n">
        <f aca="false">'[2]49-4'!i10</f>
        <v>2</v>
      </c>
      <c r="L13" s="37" t="n">
        <f aca="false">'[2]49-4'!j10</f>
        <v>0</v>
      </c>
      <c r="M13" s="37" t="n">
        <f aca="false">'[2]49-4'!k10</f>
        <v>0</v>
      </c>
      <c r="N13" s="37" t="n">
        <f aca="false">'[2]49-4'!l10</f>
        <v>28</v>
      </c>
      <c r="O13" s="37" t="n">
        <f aca="false">'[2]49-4'!m10</f>
        <v>26100</v>
      </c>
      <c r="P13" s="37" t="n">
        <f aca="false">'[2]49-4'!n10</f>
        <v>31153.65</v>
      </c>
      <c r="Q13" s="35" t="n">
        <f aca="false">'[2]49-4'!o10</f>
        <v>119.362643678161</v>
      </c>
      <c r="R13" s="37" t="n">
        <f aca="false">'[2]49-4'!p10</f>
        <v>6</v>
      </c>
      <c r="S13" s="37" t="n">
        <f aca="false">'[2]49-4'!q10</f>
        <v>4</v>
      </c>
      <c r="T13" s="37" t="n">
        <f aca="false">'[2]49-4'!r10</f>
        <v>15</v>
      </c>
      <c r="U13" s="37" t="n">
        <f aca="false">'[2]49-4'!s10</f>
        <v>13868.06</v>
      </c>
    </row>
    <row r="14" customFormat="false" ht="13.8" hidden="false" customHeight="false" outlineLevel="0" collapsed="false">
      <c r="A14" s="40" t="n">
        <v>61</v>
      </c>
      <c r="B14" s="33" t="n">
        <f aca="false">'[2]ст.61'!b80</f>
        <v>3396</v>
      </c>
      <c r="C14" s="33" t="n">
        <f aca="false">'[2]ст.61'!c80</f>
        <v>0</v>
      </c>
      <c r="D14" s="33" t="n">
        <f aca="false">'[2]ст.61'!d80</f>
        <v>0</v>
      </c>
      <c r="E14" s="33" t="n">
        <f aca="false">'[2]ст.61'!e80</f>
        <v>0</v>
      </c>
      <c r="F14" s="33" t="n">
        <f aca="false">'[2]ст.61'!f80</f>
        <v>27</v>
      </c>
      <c r="G14" s="33" t="n">
        <f aca="false">'[2]ст.61'!g80</f>
        <v>6</v>
      </c>
      <c r="H14" s="34" t="n">
        <f aca="false">'[2]ст.61'!h80</f>
        <v>3364</v>
      </c>
      <c r="I14" s="30" t="n">
        <v>4050</v>
      </c>
      <c r="J14" s="35" t="n">
        <f aca="false">H14*100/I14-100</f>
        <v>-16.9382716049383</v>
      </c>
      <c r="K14" s="33" t="n">
        <f aca="false">'[2]ст.61'!i80</f>
        <v>807</v>
      </c>
      <c r="L14" s="33" t="n">
        <f aca="false">'[2]ст.61'!j80</f>
        <v>100</v>
      </c>
      <c r="M14" s="33" t="n">
        <f aca="false">'[2]ст.61'!k80</f>
        <v>5</v>
      </c>
      <c r="N14" s="33" t="n">
        <f aca="false">'[2]ст.61'!l80</f>
        <v>2546</v>
      </c>
      <c r="O14" s="33" t="n">
        <f aca="false">'[2]ст.61'!m80</f>
        <v>1768480</v>
      </c>
      <c r="P14" s="33" t="n">
        <f aca="false">'[2]ст.61'!n80</f>
        <v>1282145.74</v>
      </c>
      <c r="Q14" s="35" t="n">
        <f aca="false">'[2]ст.61'!o80</f>
        <v>72.4998722066407</v>
      </c>
      <c r="R14" s="33" t="n">
        <f aca="false">'[2]ст.61'!p80</f>
        <v>38</v>
      </c>
      <c r="S14" s="33" t="n">
        <f aca="false">'[2]ст.61'!q80</f>
        <v>16</v>
      </c>
      <c r="T14" s="33" t="n">
        <f aca="false">'[2]ст.61'!r80</f>
        <v>1177</v>
      </c>
      <c r="U14" s="33" t="n">
        <f aca="false">'[2]ст.61'!s80</f>
        <v>926814.48</v>
      </c>
    </row>
    <row r="15" customFormat="false" ht="13.8" hidden="false" customHeight="false" outlineLevel="0" collapsed="false">
      <c r="A15" s="41" t="s">
        <v>29</v>
      </c>
      <c r="B15" s="28" t="n">
        <f aca="false">'[2]ст.61-1'!b32</f>
        <v>5</v>
      </c>
      <c r="C15" s="28" t="n">
        <f aca="false">'[2]ст.61-1'!c32</f>
        <v>0</v>
      </c>
      <c r="D15" s="28" t="n">
        <f aca="false">'[2]ст.61-1'!d32</f>
        <v>0</v>
      </c>
      <c r="E15" s="28" t="n">
        <f aca="false">'[2]ст.61-1'!e32</f>
        <v>0</v>
      </c>
      <c r="F15" s="28" t="n">
        <f aca="false">'[2]ст.61-1'!f32</f>
        <v>0</v>
      </c>
      <c r="G15" s="28" t="n">
        <f aca="false">'[2]ст.61-1'!g32</f>
        <v>0</v>
      </c>
      <c r="H15" s="29" t="n">
        <f aca="false">'[2]ст.61-1'!h32</f>
        <v>5</v>
      </c>
      <c r="I15" s="30" t="n">
        <v>0</v>
      </c>
      <c r="J15" s="31" t="n">
        <v>0</v>
      </c>
      <c r="K15" s="28" t="n">
        <f aca="false">'[2]ст.61-1'!i32</f>
        <v>4</v>
      </c>
      <c r="L15" s="28" t="n">
        <f aca="false">'[2]ст.61-1'!j32</f>
        <v>0</v>
      </c>
      <c r="M15" s="28" t="n">
        <f aca="false">'[2]ст.61-1'!k32</f>
        <v>0</v>
      </c>
      <c r="N15" s="28" t="n">
        <f aca="false">'[2]ст.61-1'!l32</f>
        <v>1</v>
      </c>
      <c r="O15" s="28" t="n">
        <f aca="false">'[2]ст.61-1'!m32</f>
        <v>500</v>
      </c>
      <c r="P15" s="28" t="n">
        <f aca="false">'[2]ст.61-1'!n32</f>
        <v>0</v>
      </c>
      <c r="Q15" s="35" t="n">
        <f aca="false">P15*100/O15</f>
        <v>0</v>
      </c>
      <c r="R15" s="28" t="n">
        <f aca="false">'[2]ст.61-3'!p13</f>
        <v>0</v>
      </c>
      <c r="S15" s="28" t="n">
        <f aca="false">'[2]ст.61-1'!q32</f>
        <v>0</v>
      </c>
      <c r="T15" s="28" t="n">
        <f aca="false">'[2]ст.61-1'!r32</f>
        <v>0</v>
      </c>
      <c r="U15" s="28" t="n">
        <f aca="false">'[2]ст.61-1'!s32</f>
        <v>0</v>
      </c>
    </row>
    <row r="16" s="47" customFormat="true" ht="13.8" hidden="false" customHeight="false" outlineLevel="0" collapsed="false">
      <c r="A16" s="42" t="s">
        <v>30</v>
      </c>
      <c r="B16" s="43" t="n">
        <f aca="false">'[2]ст.61-3'!b13</f>
        <v>0</v>
      </c>
      <c r="C16" s="43" t="n">
        <f aca="false">'[2]ст.61-3'!c13</f>
        <v>0</v>
      </c>
      <c r="D16" s="43" t="n">
        <f aca="false">'[2]ст.61-3'!d13</f>
        <v>0</v>
      </c>
      <c r="E16" s="43" t="n">
        <f aca="false">'[2]ст.61-3'!e13</f>
        <v>0</v>
      </c>
      <c r="F16" s="43" t="n">
        <f aca="false">'[2]ст.61-3'!f13</f>
        <v>0</v>
      </c>
      <c r="G16" s="43" t="n">
        <f aca="false">'[2]ст.61-3'!g13</f>
        <v>0</v>
      </c>
      <c r="H16" s="44" t="n">
        <f aca="false">'[2]ст.61-3'!h13</f>
        <v>0</v>
      </c>
      <c r="I16" s="30" t="n">
        <v>0</v>
      </c>
      <c r="J16" s="45" t="n">
        <v>0</v>
      </c>
      <c r="K16" s="43" t="n">
        <f aca="false">'[2]ст.61-3'!i13</f>
        <v>0</v>
      </c>
      <c r="L16" s="43" t="n">
        <f aca="false">'[2]ст.61-3'!j13</f>
        <v>0</v>
      </c>
      <c r="M16" s="43" t="n">
        <f aca="false">'[2]ст.61-3'!k13</f>
        <v>0</v>
      </c>
      <c r="N16" s="43" t="n">
        <f aca="false">'[2]ст.61-3'!l13</f>
        <v>0</v>
      </c>
      <c r="O16" s="43" t="n">
        <f aca="false">'[2]ст.61-3'!m13</f>
        <v>0</v>
      </c>
      <c r="P16" s="43" t="n">
        <f aca="false">'[2]ст.61-3'!n13</f>
        <v>0</v>
      </c>
      <c r="Q16" s="46" t="n">
        <v>0</v>
      </c>
      <c r="R16" s="43" t="n">
        <f aca="false">'[2]ст.61-1'!p33</f>
        <v>0</v>
      </c>
      <c r="S16" s="43" t="n">
        <f aca="false">'[2]ст.61-1'!q33</f>
        <v>0</v>
      </c>
      <c r="T16" s="43" t="n">
        <f aca="false">'[2]ст.61-1'!r33</f>
        <v>0</v>
      </c>
      <c r="U16" s="43" t="n">
        <f aca="false">'[2]ст.61-1'!s33</f>
        <v>0</v>
      </c>
    </row>
    <row r="17" customFormat="false" ht="13.8" hidden="false" customHeight="false" outlineLevel="0" collapsed="false">
      <c r="A17" s="32" t="n">
        <v>67</v>
      </c>
      <c r="B17" s="33" t="n">
        <f aca="false">'[2]ст.67'!b35</f>
        <v>6</v>
      </c>
      <c r="C17" s="33" t="n">
        <f aca="false">'[2]ст.67'!c35</f>
        <v>0</v>
      </c>
      <c r="D17" s="33" t="n">
        <f aca="false">'[2]ст.67'!d35</f>
        <v>0</v>
      </c>
      <c r="E17" s="33" t="n">
        <f aca="false">'[2]ст.67'!e35</f>
        <v>0</v>
      </c>
      <c r="F17" s="33" t="n">
        <f aca="false">'[2]ст.67'!f35</f>
        <v>0</v>
      </c>
      <c r="G17" s="33" t="n">
        <f aca="false">'[2]ст.67'!g35</f>
        <v>0</v>
      </c>
      <c r="H17" s="34" t="n">
        <f aca="false">'[2]ст.67'!h35</f>
        <v>6</v>
      </c>
      <c r="I17" s="30" t="n">
        <v>4</v>
      </c>
      <c r="J17" s="35" t="n">
        <f aca="false">H17*100/I17-100</f>
        <v>50</v>
      </c>
      <c r="K17" s="33" t="n">
        <f aca="false">'[2]ст.67'!i35</f>
        <v>0</v>
      </c>
      <c r="L17" s="33" t="n">
        <f aca="false">'[2]ст.67'!j35</f>
        <v>0</v>
      </c>
      <c r="M17" s="33" t="n">
        <f aca="false">'[2]ст.67'!k35</f>
        <v>0</v>
      </c>
      <c r="N17" s="33" t="n">
        <f aca="false">'[2]ст.67'!l35</f>
        <v>6</v>
      </c>
      <c r="O17" s="33" t="n">
        <f aca="false">'[2]ст.67'!m35</f>
        <v>1800</v>
      </c>
      <c r="P17" s="33" t="n">
        <f aca="false">'[2]ст.67'!n35</f>
        <v>1800</v>
      </c>
      <c r="Q17" s="36" t="n">
        <f aca="false">'[2]ст.67'!o35</f>
        <v>100</v>
      </c>
      <c r="R17" s="33" t="n">
        <f aca="false">'[2]ст.67'!p35</f>
        <v>0</v>
      </c>
      <c r="S17" s="33" t="n">
        <f aca="false">'[2]ст.67'!q35</f>
        <v>0</v>
      </c>
      <c r="T17" s="33" t="n">
        <f aca="false">'[2]ст.67'!r35</f>
        <v>0</v>
      </c>
      <c r="U17" s="33" t="n">
        <f aca="false">'[2]ст.67'!s35</f>
        <v>0</v>
      </c>
    </row>
    <row r="18" customFormat="false" ht="13.8" hidden="false" customHeight="false" outlineLevel="0" collapsed="false">
      <c r="A18" s="32" t="n">
        <v>68</v>
      </c>
      <c r="B18" s="33" t="n">
        <f aca="false">'[2]ст.68'!b20</f>
        <v>48</v>
      </c>
      <c r="C18" s="33" t="n">
        <f aca="false">'[2]ст.68'!c20</f>
        <v>0</v>
      </c>
      <c r="D18" s="33" t="n">
        <f aca="false">'[2]ст.68'!d20</f>
        <v>0</v>
      </c>
      <c r="E18" s="33" t="n">
        <f aca="false">'[2]ст.68'!e20</f>
        <v>0</v>
      </c>
      <c r="F18" s="33" t="n">
        <f aca="false">'[2]ст.68'!f20</f>
        <v>0</v>
      </c>
      <c r="G18" s="33" t="n">
        <f aca="false">'[2]ст.68'!g20</f>
        <v>0</v>
      </c>
      <c r="H18" s="34" t="n">
        <f aca="false">'[2]ст.68'!h20</f>
        <v>48</v>
      </c>
      <c r="I18" s="30" t="n">
        <v>54</v>
      </c>
      <c r="J18" s="35" t="n">
        <f aca="false">H18*100/I18-100</f>
        <v>-11.1111111111111</v>
      </c>
      <c r="K18" s="33" t="n">
        <f aca="false">'[2]ст.68'!i20</f>
        <v>4</v>
      </c>
      <c r="L18" s="33" t="n">
        <f aca="false">'[2]ст.68'!j20</f>
        <v>0</v>
      </c>
      <c r="M18" s="33" t="n">
        <f aca="false">'[2]ст.68'!k20</f>
        <v>40</v>
      </c>
      <c r="N18" s="33" t="n">
        <f aca="false">'[2]ст.68'!l20</f>
        <v>4</v>
      </c>
      <c r="O18" s="33" t="n">
        <f aca="false">'[2]ст.68'!m20</f>
        <v>2000</v>
      </c>
      <c r="P18" s="33" t="n">
        <f aca="false">'[2]ст.68'!n20</f>
        <v>1000</v>
      </c>
      <c r="Q18" s="35" t="n">
        <f aca="false">'[2]ст.68'!o20</f>
        <v>50</v>
      </c>
      <c r="R18" s="33" t="n">
        <f aca="false">'[2]ст.68'!p20</f>
        <v>0</v>
      </c>
      <c r="S18" s="33" t="n">
        <f aca="false">'[2]ст.68'!q20</f>
        <v>0</v>
      </c>
      <c r="T18" s="33" t="n">
        <f aca="false">'[2]ст.68'!r20</f>
        <v>1</v>
      </c>
      <c r="U18" s="33" t="n">
        <f aca="false">'[2]ст.68'!s20</f>
        <v>500</v>
      </c>
    </row>
    <row r="19" customFormat="false" ht="13.8" hidden="false" customHeight="false" outlineLevel="0" collapsed="false">
      <c r="A19" s="32" t="s">
        <v>31</v>
      </c>
      <c r="B19" s="33" t="n">
        <f aca="false">'[2]ст.68-2'!b30</f>
        <v>1171</v>
      </c>
      <c r="C19" s="33" t="n">
        <f aca="false">'[2]ст.68-2'!c30</f>
        <v>0</v>
      </c>
      <c r="D19" s="33" t="n">
        <f aca="false">'[2]ст.68-2'!d30</f>
        <v>0</v>
      </c>
      <c r="E19" s="33" t="n">
        <f aca="false">'[2]ст.68-2'!e30</f>
        <v>0</v>
      </c>
      <c r="F19" s="33" t="n">
        <f aca="false">'[2]ст.68-2'!f30</f>
        <v>0</v>
      </c>
      <c r="G19" s="33" t="n">
        <f aca="false">'[2]ст.68-2'!g30</f>
        <v>0</v>
      </c>
      <c r="H19" s="34" t="n">
        <f aca="false">'[2]ст.68-2'!h30</f>
        <v>1170</v>
      </c>
      <c r="I19" s="30" t="n">
        <v>999</v>
      </c>
      <c r="J19" s="35" t="n">
        <f aca="false">H19*100/I19-100</f>
        <v>17.1171171171171</v>
      </c>
      <c r="K19" s="33" t="n">
        <f aca="false">'[2]ст.68-2'!i30</f>
        <v>12</v>
      </c>
      <c r="L19" s="33" t="n">
        <f aca="false">'[2]ст.68-2'!j30</f>
        <v>6</v>
      </c>
      <c r="M19" s="33" t="n">
        <f aca="false">'[2]ст.68-2'!k30</f>
        <v>363</v>
      </c>
      <c r="N19" s="33" t="n">
        <f aca="false">'[2]ст.68-2'!l30</f>
        <v>795</v>
      </c>
      <c r="O19" s="33" t="n">
        <f aca="false">'[2]ст.68-2'!m30</f>
        <v>983150</v>
      </c>
      <c r="P19" s="33" t="n">
        <f aca="false">'[2]ст.68-2'!n30</f>
        <v>642182.73</v>
      </c>
      <c r="Q19" s="35" t="n">
        <f aca="false">'[2]ст.68-2'!o30</f>
        <v>65.3188964044144</v>
      </c>
      <c r="R19" s="33" t="n">
        <f aca="false">'[2]ст.68-2'!p30</f>
        <v>0</v>
      </c>
      <c r="S19" s="33" t="n">
        <f aca="false">'[2]ст.68-2'!q30</f>
        <v>0</v>
      </c>
      <c r="T19" s="33" t="n">
        <f aca="false">'[2]ст.68-2'!r30</f>
        <v>343</v>
      </c>
      <c r="U19" s="33" t="n">
        <f aca="false">'[2]ст.68-2'!s30</f>
        <v>422350</v>
      </c>
    </row>
    <row r="20" customFormat="false" ht="13.8" hidden="false" customHeight="false" outlineLevel="0" collapsed="false">
      <c r="A20" s="48" t="n">
        <v>70</v>
      </c>
      <c r="B20" s="49" t="n">
        <f aca="false">'[2]ст.70'!b79</f>
        <v>369</v>
      </c>
      <c r="C20" s="49" t="n">
        <f aca="false">'[2]ст.70'!c79</f>
        <v>0</v>
      </c>
      <c r="D20" s="49" t="n">
        <f aca="false">'[2]ст.70'!d79</f>
        <v>0</v>
      </c>
      <c r="E20" s="49" t="n">
        <f aca="false">'[2]ст.70'!e79</f>
        <v>0</v>
      </c>
      <c r="F20" s="49" t="n">
        <f aca="false">'[2]ст.70'!f79</f>
        <v>17</v>
      </c>
      <c r="G20" s="49" t="n">
        <f aca="false">'[2]ст.70'!g79</f>
        <v>2</v>
      </c>
      <c r="H20" s="50" t="n">
        <f aca="false">'[2]ст.70'!h79</f>
        <v>356</v>
      </c>
      <c r="I20" s="30" t="n">
        <v>427</v>
      </c>
      <c r="J20" s="51" t="n">
        <f aca="false">H20*100/I20-100</f>
        <v>-16.6276346604215</v>
      </c>
      <c r="K20" s="49" t="n">
        <f aca="false">'[2]ст.70'!i79</f>
        <v>83</v>
      </c>
      <c r="L20" s="49" t="n">
        <f aca="false">'[2]ст.70'!j79</f>
        <v>8</v>
      </c>
      <c r="M20" s="49" t="n">
        <f aca="false">'[2]ст.70'!k79</f>
        <v>1</v>
      </c>
      <c r="N20" s="49" t="n">
        <f aca="false">'[2]ст.70'!l79</f>
        <v>270</v>
      </c>
      <c r="O20" s="49" t="n">
        <f aca="false">'[2]ст.70'!m79</f>
        <v>427500</v>
      </c>
      <c r="P20" s="49" t="n">
        <f aca="false">'[2]ст.70'!n79</f>
        <v>317249.35</v>
      </c>
      <c r="Q20" s="51" t="n">
        <f aca="false">'[2]ст.70'!o79</f>
        <v>74.2103742690058</v>
      </c>
      <c r="R20" s="49" t="n">
        <f aca="false">'[2]ст.70'!p79</f>
        <v>4</v>
      </c>
      <c r="S20" s="49" t="n">
        <f aca="false">'[2]ст.70'!q79</f>
        <v>1</v>
      </c>
      <c r="T20" s="49" t="n">
        <f aca="false">'[2]ст.70'!r79</f>
        <v>87</v>
      </c>
      <c r="U20" s="49" t="n">
        <f aca="false">'[2]ст.70'!s79</f>
        <v>137000</v>
      </c>
    </row>
    <row r="21" customFormat="false" ht="13.8" hidden="false" customHeight="false" outlineLevel="0" collapsed="false">
      <c r="A21" s="48" t="s">
        <v>32</v>
      </c>
      <c r="B21" s="49" t="n">
        <v>0</v>
      </c>
      <c r="C21" s="49" t="n">
        <v>0</v>
      </c>
      <c r="D21" s="49" t="n">
        <v>0</v>
      </c>
      <c r="E21" s="49" t="n">
        <v>0</v>
      </c>
      <c r="F21" s="49" t="n">
        <v>0</v>
      </c>
      <c r="G21" s="49" t="n">
        <v>0</v>
      </c>
      <c r="H21" s="50" t="n">
        <v>0</v>
      </c>
      <c r="I21" s="30" t="n">
        <v>0</v>
      </c>
      <c r="J21" s="51" t="n">
        <v>0</v>
      </c>
      <c r="K21" s="49" t="n">
        <v>0</v>
      </c>
      <c r="L21" s="49" t="n">
        <v>0</v>
      </c>
      <c r="M21" s="49" t="n">
        <v>0</v>
      </c>
      <c r="N21" s="49" t="n">
        <v>0</v>
      </c>
      <c r="O21" s="49" t="n">
        <v>0</v>
      </c>
      <c r="P21" s="49" t="n">
        <v>0</v>
      </c>
      <c r="Q21" s="51" t="n">
        <v>0</v>
      </c>
      <c r="R21" s="49" t="n">
        <v>0</v>
      </c>
      <c r="S21" s="49" t="n">
        <v>0</v>
      </c>
      <c r="T21" s="49" t="n">
        <v>0</v>
      </c>
      <c r="U21" s="49" t="n">
        <v>0</v>
      </c>
    </row>
    <row r="22" customFormat="false" ht="13.8" hidden="false" customHeight="false" outlineLevel="0" collapsed="false">
      <c r="A22" s="52" t="s">
        <v>33</v>
      </c>
      <c r="B22" s="53" t="n">
        <f aca="false">SUM(B8:B20)</f>
        <v>7224</v>
      </c>
      <c r="C22" s="54" t="n">
        <v>0</v>
      </c>
      <c r="D22" s="53" t="n">
        <f aca="false">SUM(D8:D20)</f>
        <v>0</v>
      </c>
      <c r="E22" s="53" t="n">
        <f aca="false">SUM(E8:E20)</f>
        <v>0</v>
      </c>
      <c r="F22" s="53" t="n">
        <f aca="false">SUM(F8:F20)</f>
        <v>47</v>
      </c>
      <c r="G22" s="53" t="n">
        <f aca="false">SUM(G8:G20)</f>
        <v>10</v>
      </c>
      <c r="H22" s="53" t="n">
        <f aca="false">SUM(H8:H20)</f>
        <v>7166</v>
      </c>
      <c r="I22" s="55" t="n">
        <f aca="false">SUM(I8:I20)</f>
        <v>9371</v>
      </c>
      <c r="J22" s="56" t="n">
        <f aca="false">H22*100/I22-100</f>
        <v>-23.530039483513</v>
      </c>
      <c r="K22" s="53" t="n">
        <f aca="false">SUM(K8:K20)</f>
        <v>1120</v>
      </c>
      <c r="L22" s="53" t="n">
        <f aca="false">SUM(L8:L20)</f>
        <v>149</v>
      </c>
      <c r="M22" s="53" t="n">
        <f aca="false">SUM(M8:M20)</f>
        <v>1461</v>
      </c>
      <c r="N22" s="53" t="n">
        <f aca="false">SUM(N8:N20)</f>
        <v>4575</v>
      </c>
      <c r="O22" s="53" t="n">
        <f aca="false">SUM(O8:O20)</f>
        <v>4222730</v>
      </c>
      <c r="P22" s="53" t="n">
        <f aca="false">SUM(P8:P20)</f>
        <v>3104182.94</v>
      </c>
      <c r="Q22" s="56" t="n">
        <f aca="false">SUM((P22/O22)*100)</f>
        <v>73.5112815642961</v>
      </c>
      <c r="R22" s="53" t="n">
        <f aca="false">SUM(R8:R20)</f>
        <v>95</v>
      </c>
      <c r="S22" s="53" t="n">
        <f aca="false">SUM(S8:S20)</f>
        <v>40</v>
      </c>
      <c r="T22" s="53" t="n">
        <f aca="false">SUM(T8:T20)</f>
        <v>2087</v>
      </c>
      <c r="U22" s="53" t="n">
        <f aca="false">SUM(U8:U20)</f>
        <v>2047432.54</v>
      </c>
    </row>
    <row r="24" customFormat="false" ht="14.25" hidden="false" customHeight="false" outlineLevel="0" collapsed="false">
      <c r="A24" s="57"/>
    </row>
  </sheetData>
  <mergeCells count="24">
    <mergeCell ref="A1:S1"/>
    <mergeCell ref="A2:S2"/>
    <mergeCell ref="A3:S3"/>
    <mergeCell ref="A4:A6"/>
    <mergeCell ref="B4:E4"/>
    <mergeCell ref="F4:F6"/>
    <mergeCell ref="G4:G6"/>
    <mergeCell ref="H4:H6"/>
    <mergeCell ref="I4:I6"/>
    <mergeCell ref="J4:J6"/>
    <mergeCell ref="K4:N4"/>
    <mergeCell ref="O4:P4"/>
    <mergeCell ref="Q4:Q6"/>
    <mergeCell ref="R4:R6"/>
    <mergeCell ref="S4:S6"/>
    <mergeCell ref="T4:T6"/>
    <mergeCell ref="U4:U6"/>
    <mergeCell ref="B5:B6"/>
    <mergeCell ref="C5:E5"/>
    <mergeCell ref="K5:L5"/>
    <mergeCell ref="M5:M6"/>
    <mergeCell ref="N5:N6"/>
    <mergeCell ref="O5:O6"/>
    <mergeCell ref="P5:P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3259</TotalTime>
  <Application>LibreOffice/6.4.7.2$Linux_X86_64 LibreOffice_project/40$Build-2</Application>
  <Company>Mirsud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2018-06-15T01:26:01Z</dcterms:created>
  <dc:creator>User</dc:creator>
  <dc:description/>
  <dc:language>ru-RU</dc:language>
  <cp:lastModifiedBy/>
  <cp:lastPrinted>2023-04-24T11:14:12Z</cp:lastPrinted>
  <dcterms:modified xsi:type="dcterms:W3CDTF">2024-02-05T11:11:21Z</dcterms:modified>
  <cp:revision>148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Mirsud</vt:lpwstr>
  </property>
</Properties>
</file>